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46" windowWidth="12390" windowHeight="7590" activeTab="1"/>
  </bookViews>
  <sheets>
    <sheet name="English" sheetId="1" r:id="rId1"/>
    <sheet name="Chinese" sheetId="2" r:id="rId2"/>
  </sheets>
  <definedNames/>
  <calcPr fullCalcOnLoad="1"/>
</workbook>
</file>

<file path=xl/sharedStrings.xml><?xml version="1.0" encoding="utf-8"?>
<sst xmlns="http://schemas.openxmlformats.org/spreadsheetml/2006/main" count="93" uniqueCount="68">
  <si>
    <t>LOGPERIODIC DIPOLE ARRAY</t>
  </si>
  <si>
    <t>ARRL antenna book 15th edition</t>
  </si>
  <si>
    <t>p.10-4,10-5</t>
  </si>
  <si>
    <t>OH3FG/KO4BC June 18, 1993</t>
  </si>
  <si>
    <t>Give values only those fields marked with BOLD</t>
  </si>
  <si>
    <t>Constants Tau and Sigma defines physical appearance of the antenna. Greater values mean bigger antenna with more gain.</t>
  </si>
  <si>
    <t>The Tau should be   1&gt;tau&gt;=0.8</t>
  </si>
  <si>
    <t xml:space="preserve">It is not necessary to give a Sigma. If you leave it blank, the computer will calculate a value for it. </t>
  </si>
  <si>
    <t>The calculated value will be the value for max gain for given Tau.</t>
  </si>
  <si>
    <t>If you decide to give Sigma, make it   0.22&gt;sigma&gt;=0.06</t>
  </si>
  <si>
    <t>Lowest frequency</t>
  </si>
  <si>
    <t>MHz</t>
  </si>
  <si>
    <t>Highest frequency</t>
  </si>
  <si>
    <t>B</t>
  </si>
  <si>
    <t>Tau</t>
  </si>
  <si>
    <t>(Sigma)</t>
  </si>
  <si>
    <t>sigma</t>
  </si>
  <si>
    <t>cot alpha</t>
  </si>
  <si>
    <t>Bar</t>
  </si>
  <si>
    <t>Bs</t>
  </si>
  <si>
    <t>Puomin pit.</t>
  </si>
  <si>
    <t>N</t>
  </si>
  <si>
    <t>pisin el.</t>
  </si>
  <si>
    <t>stub</t>
  </si>
  <si>
    <t>m</t>
  </si>
  <si>
    <t xml:space="preserve">Feeder Z </t>
  </si>
  <si>
    <t>ohm</t>
  </si>
  <si>
    <t>syöttöimp. Z</t>
  </si>
  <si>
    <t xml:space="preserve">Boom Dia. </t>
  </si>
  <si>
    <t>mm</t>
  </si>
  <si>
    <t>Distance of Boom halves</t>
  </si>
  <si>
    <t xml:space="preserve">Gain Appox. </t>
  </si>
  <si>
    <t>dBi</t>
  </si>
  <si>
    <t>tau/sigma</t>
  </si>
  <si>
    <t>metric dimesions</t>
  </si>
  <si>
    <t>Element</t>
  </si>
  <si>
    <t>Length</t>
  </si>
  <si>
    <t>Half</t>
  </si>
  <si>
    <t>Dist. fr. prev. el</t>
  </si>
  <si>
    <t>From Boom end</t>
  </si>
  <si>
    <t>El. material tot.</t>
  </si>
  <si>
    <t>Total boom length</t>
  </si>
  <si>
    <t>LOG周期偶极阵设计</t>
  </si>
  <si>
    <t xml:space="preserve">根据 《ARRL 天线设计 第15版》 </t>
  </si>
  <si>
    <t>作者：OH3FG/KO4BC June 18, 1993</t>
  </si>
  <si>
    <t>请只在以下黑体部分填入输入参数</t>
  </si>
  <si>
    <t>参数 Tau 和 Sigma 改变天线的尺寸、外形和增益</t>
  </si>
  <si>
    <t>参数 Tau 应该在 0.8 和 1 之间 （1&gt;tau&gt;=0.8）</t>
  </si>
  <si>
    <t xml:space="preserve">你可以不输入 Sigma，我们会根据情况给你计算一个最佳值。 </t>
  </si>
  <si>
    <t>最低频率</t>
  </si>
  <si>
    <t>最高频率</t>
  </si>
  <si>
    <t>馈线阻抗</t>
  </si>
  <si>
    <t>天线增益的估算值</t>
  </si>
  <si>
    <t>发射元</t>
  </si>
  <si>
    <t>离上个发射元的距离</t>
  </si>
  <si>
    <t>发射元材料总长</t>
  </si>
  <si>
    <t>欧姆</t>
  </si>
  <si>
    <t>尺寸 （m）</t>
  </si>
  <si>
    <t>参数 Sigma 应该在 0.06 和 0.22之间 （ 0.22&gt;sigma&gt;=0.06）</t>
  </si>
  <si>
    <t>此值与天线阻抗有关</t>
  </si>
  <si>
    <t>This param changes with Z</t>
  </si>
  <si>
    <t>第 10-4,10-5 页</t>
  </si>
  <si>
    <t>离基架长末端的距离</t>
  </si>
  <si>
    <t>两基架的中心间距</t>
  </si>
  <si>
    <t>中心基架直径</t>
  </si>
  <si>
    <t>发射元长度</t>
  </si>
  <si>
    <t>发射元半长</t>
  </si>
  <si>
    <t>基架材料总长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</si>
</sst>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mk&quot;;\-#,##0&quot; mk&quot;"/>
    <numFmt numFmtId="165" formatCode="#,##0&quot; mk&quot;;[Red]\-#,##0&quot; mk&quot;"/>
    <numFmt numFmtId="166" formatCode="#,##0.00&quot; mk&quot;;\-#,##0.00&quot; mk&quot;"/>
    <numFmt numFmtId="167" formatCode="#,##0.00&quot; mk&quot;;[Red]\-#,##0.00&quot; mk&quot;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2"/>
      <name val="MS Sans Serif"/>
      <family val="2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68" fontId="0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2" fontId="1" fillId="2" borderId="1" xfId="0" applyNumberFormat="1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168" fontId="1" fillId="2" borderId="2" xfId="0" applyNumberFormat="1" applyFont="1" applyFill="1" applyBorder="1" applyAlignment="1">
      <alignment/>
    </xf>
    <xf numFmtId="2" fontId="1" fillId="2" borderId="3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168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1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12</xdr:row>
      <xdr:rowOff>66675</xdr:rowOff>
    </xdr:from>
    <xdr:to>
      <xdr:col>9</xdr:col>
      <xdr:colOff>809625</xdr:colOff>
      <xdr:row>69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781175"/>
          <a:ext cx="3876675" cy="474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12</xdr:row>
      <xdr:rowOff>0</xdr:rowOff>
    </xdr:from>
    <xdr:to>
      <xdr:col>9</xdr:col>
      <xdr:colOff>809625</xdr:colOff>
      <xdr:row>60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81200"/>
          <a:ext cx="3876675" cy="474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K9" sqref="K9"/>
    </sheetView>
  </sheetViews>
  <sheetFormatPr defaultColWidth="9.140625" defaultRowHeight="12.75"/>
  <cols>
    <col min="1" max="1" width="18.57421875" style="4" customWidth="1"/>
    <col min="2" max="2" width="8.28125" style="2" customWidth="1"/>
    <col min="3" max="3" width="6.57421875" style="2" customWidth="1"/>
    <col min="4" max="4" width="6.57421875" style="3" customWidth="1"/>
    <col min="5" max="5" width="7.8515625" style="3" customWidth="1"/>
    <col min="6" max="16384" width="13.00390625" style="3" customWidth="1"/>
  </cols>
  <sheetData>
    <row r="1" ht="10.5">
      <c r="A1" s="1" t="s">
        <v>0</v>
      </c>
    </row>
    <row r="2" ht="10.5">
      <c r="A2" s="1" t="s">
        <v>1</v>
      </c>
    </row>
    <row r="3" ht="10.5">
      <c r="A3" s="1" t="s">
        <v>2</v>
      </c>
    </row>
    <row r="4" ht="10.5">
      <c r="A4" s="4" t="s">
        <v>3</v>
      </c>
    </row>
    <row r="6" ht="10.5">
      <c r="A6" s="1" t="s">
        <v>4</v>
      </c>
    </row>
    <row r="8" ht="10.5">
      <c r="A8" s="4" t="s">
        <v>5</v>
      </c>
    </row>
    <row r="10" ht="10.5">
      <c r="A10" s="4" t="s">
        <v>6</v>
      </c>
    </row>
    <row r="12" ht="10.5">
      <c r="A12" s="4" t="s">
        <v>7</v>
      </c>
    </row>
    <row r="13" ht="10.5">
      <c r="A13" s="4" t="s">
        <v>8</v>
      </c>
    </row>
    <row r="14" ht="10.5">
      <c r="A14" s="4" t="s">
        <v>9</v>
      </c>
    </row>
    <row r="15" ht="10.5"/>
    <row r="16" spans="1:3" ht="10.5">
      <c r="A16" s="1" t="s">
        <v>10</v>
      </c>
      <c r="B16" s="25">
        <v>88</v>
      </c>
      <c r="C16" s="6" t="s">
        <v>11</v>
      </c>
    </row>
    <row r="17" spans="1:3" ht="10.5">
      <c r="A17" s="1" t="s">
        <v>12</v>
      </c>
      <c r="B17" s="26">
        <v>108</v>
      </c>
      <c r="C17" s="6" t="s">
        <v>11</v>
      </c>
    </row>
    <row r="18" spans="1:3" ht="10.5" hidden="1">
      <c r="A18" s="4" t="s">
        <v>13</v>
      </c>
      <c r="B18" s="26">
        <f>B17/B16</f>
        <v>1.2272727272727273</v>
      </c>
      <c r="C18" s="6"/>
    </row>
    <row r="19" spans="1:3" ht="10.5">
      <c r="A19" s="1" t="s">
        <v>14</v>
      </c>
      <c r="B19" s="26">
        <v>0.8</v>
      </c>
      <c r="C19" s="6"/>
    </row>
    <row r="20" spans="1:3" ht="10.5">
      <c r="A20" s="1" t="s">
        <v>15</v>
      </c>
      <c r="B20" s="26"/>
      <c r="C20" s="6"/>
    </row>
    <row r="21" spans="1:3" ht="10.5" hidden="1">
      <c r="A21" s="4" t="s">
        <v>16</v>
      </c>
      <c r="B21" s="26">
        <f>IF(ISNUMBER(B20),B20,0.243*B19-0.051)</f>
        <v>0.14340000000000003</v>
      </c>
      <c r="C21" s="6"/>
    </row>
    <row r="22" spans="1:3" ht="10.5" hidden="1">
      <c r="A22" s="4" t="s">
        <v>17</v>
      </c>
      <c r="B22" s="26">
        <f>4*B21/(1-B19)</f>
        <v>2.868000000000001</v>
      </c>
      <c r="C22" s="6"/>
    </row>
    <row r="23" spans="1:3" ht="10.5" hidden="1">
      <c r="A23" s="4" t="s">
        <v>18</v>
      </c>
      <c r="B23" s="26">
        <f>1.1+7.7*(1-B19)*(1-B19)*B22</f>
        <v>1.983344</v>
      </c>
      <c r="C23" s="6"/>
    </row>
    <row r="24" spans="1:3" ht="10.5" hidden="1">
      <c r="A24" s="4" t="s">
        <v>19</v>
      </c>
      <c r="B24" s="26">
        <f>B18*B23</f>
        <v>2.434104</v>
      </c>
      <c r="C24" s="6"/>
    </row>
    <row r="25" spans="1:3" ht="10.5" hidden="1">
      <c r="A25" s="4" t="s">
        <v>20</v>
      </c>
      <c r="B25" s="26">
        <f>(0.25*(1-1/B24)*B22)*300/B16</f>
        <v>1.4401219018654023</v>
      </c>
      <c r="C25" s="6"/>
    </row>
    <row r="26" spans="1:3" ht="10.5" hidden="1">
      <c r="A26" s="4" t="s">
        <v>21</v>
      </c>
      <c r="B26" s="26">
        <f>1+LN(B24)/LN(1/B19)</f>
        <v>4.986575979601666</v>
      </c>
      <c r="C26" s="6"/>
    </row>
    <row r="27" spans="1:3" ht="10.5" hidden="1">
      <c r="A27" s="4" t="s">
        <v>22</v>
      </c>
      <c r="B27" s="26">
        <f>(300/B16)/2</f>
        <v>1.7045454545454546</v>
      </c>
      <c r="C27" s="6"/>
    </row>
    <row r="28" spans="1:3" ht="10.5" hidden="1">
      <c r="A28" s="4" t="s">
        <v>23</v>
      </c>
      <c r="B28" s="27">
        <f>0.125*300/B16</f>
        <v>0.42613636363636365</v>
      </c>
      <c r="C28" s="6" t="s">
        <v>24</v>
      </c>
    </row>
    <row r="29" spans="1:3" ht="10.5">
      <c r="A29" s="1" t="s">
        <v>25</v>
      </c>
      <c r="B29" s="26">
        <v>50</v>
      </c>
      <c r="C29" s="6" t="s">
        <v>26</v>
      </c>
    </row>
    <row r="30" spans="1:3" ht="10.5" hidden="1">
      <c r="A30" s="3" t="s">
        <v>27</v>
      </c>
      <c r="B30" s="26">
        <f>(B29*B29/8*B21/SQRT(B19))+B29*SQRT(B29/8*B21/SQRT(B19)*B29/8*B21/SQRT(B19)+1)</f>
        <v>120.88466576462868</v>
      </c>
      <c r="C30" s="7"/>
    </row>
    <row r="31" spans="1:3" ht="10.5">
      <c r="A31" s="1" t="s">
        <v>28</v>
      </c>
      <c r="B31" s="28">
        <v>10</v>
      </c>
      <c r="C31" s="6" t="s">
        <v>29</v>
      </c>
    </row>
    <row r="32" spans="1:4" ht="10.5">
      <c r="A32" s="4" t="s">
        <v>30</v>
      </c>
      <c r="B32" s="2">
        <f>B31/2*EXP((B30/276)*LN(10))</f>
        <v>13.70748955962199</v>
      </c>
      <c r="C32" s="2" t="s">
        <v>29</v>
      </c>
      <c r="D32" s="3" t="s">
        <v>60</v>
      </c>
    </row>
    <row r="33" spans="1:4" ht="9.75" customHeight="1">
      <c r="A33" s="3" t="s">
        <v>31</v>
      </c>
      <c r="B33" s="3">
        <f>INDEX(B35:J44,MATCH(B19,A35:A44,1),MATCH(B21,B34:J34,1))</f>
        <v>8.3</v>
      </c>
      <c r="C33" s="3" t="s">
        <v>32</v>
      </c>
      <c r="D33" s="3"/>
    </row>
    <row r="34" spans="1:10" ht="12.75" hidden="1">
      <c r="A34" t="s">
        <v>33</v>
      </c>
      <c r="B34">
        <v>0.06</v>
      </c>
      <c r="C34">
        <v>0.08</v>
      </c>
      <c r="D34">
        <v>0.1</v>
      </c>
      <c r="E34">
        <v>0.12</v>
      </c>
      <c r="F34">
        <v>0.14</v>
      </c>
      <c r="G34">
        <v>0.16</v>
      </c>
      <c r="H34">
        <v>0.18</v>
      </c>
      <c r="I34">
        <v>0.2</v>
      </c>
      <c r="J34">
        <v>0.22</v>
      </c>
    </row>
    <row r="35" spans="1:10" ht="12.75" hidden="1">
      <c r="A35">
        <v>0.8</v>
      </c>
      <c r="B35">
        <v>7</v>
      </c>
      <c r="C35">
        <v>7.2</v>
      </c>
      <c r="D35">
        <v>7.5</v>
      </c>
      <c r="E35">
        <v>8</v>
      </c>
      <c r="F35">
        <v>8.3</v>
      </c>
      <c r="G35">
        <v>8</v>
      </c>
      <c r="H35">
        <v>7.5</v>
      </c>
      <c r="I35">
        <v>7</v>
      </c>
      <c r="J35">
        <v>5.5</v>
      </c>
    </row>
    <row r="36" spans="1:10" ht="12.75" hidden="1">
      <c r="A36">
        <v>0.82</v>
      </c>
      <c r="B36">
        <v>7.2</v>
      </c>
      <c r="C36">
        <v>7.4</v>
      </c>
      <c r="D36">
        <v>7.7</v>
      </c>
      <c r="E36">
        <v>8.2</v>
      </c>
      <c r="F36">
        <v>8.4</v>
      </c>
      <c r="G36">
        <v>8.3</v>
      </c>
      <c r="H36">
        <v>7.9</v>
      </c>
      <c r="I36">
        <v>7.3</v>
      </c>
      <c r="J36">
        <v>6.1</v>
      </c>
    </row>
    <row r="37" spans="1:10" ht="12.75" hidden="1">
      <c r="A37">
        <v>0.84</v>
      </c>
      <c r="B37">
        <v>7.3</v>
      </c>
      <c r="C37">
        <v>7.6</v>
      </c>
      <c r="D37">
        <v>7.9</v>
      </c>
      <c r="E37">
        <v>8.3</v>
      </c>
      <c r="F37">
        <v>8.6</v>
      </c>
      <c r="G37">
        <v>8.6</v>
      </c>
      <c r="H37">
        <v>8.2</v>
      </c>
      <c r="I37">
        <v>7.6</v>
      </c>
      <c r="J37">
        <v>6.5</v>
      </c>
    </row>
    <row r="38" spans="1:10" ht="12.75" hidden="1">
      <c r="A38">
        <v>0.86</v>
      </c>
      <c r="B38">
        <v>7.6</v>
      </c>
      <c r="C38">
        <v>7.8</v>
      </c>
      <c r="D38">
        <v>8.2</v>
      </c>
      <c r="E38">
        <v>8.4</v>
      </c>
      <c r="F38">
        <v>8.8</v>
      </c>
      <c r="G38">
        <v>8.9</v>
      </c>
      <c r="H38">
        <v>8.6</v>
      </c>
      <c r="I38">
        <v>8</v>
      </c>
      <c r="J38">
        <v>7.3</v>
      </c>
    </row>
    <row r="39" spans="1:10" ht="12.75" hidden="1">
      <c r="A39">
        <v>0.88</v>
      </c>
      <c r="B39">
        <v>7.9</v>
      </c>
      <c r="C39">
        <v>8.1</v>
      </c>
      <c r="D39">
        <v>8.4</v>
      </c>
      <c r="E39">
        <v>8.7</v>
      </c>
      <c r="F39">
        <v>9</v>
      </c>
      <c r="G39">
        <v>9.2</v>
      </c>
      <c r="H39">
        <v>9.1</v>
      </c>
      <c r="I39">
        <v>8.5</v>
      </c>
      <c r="J39">
        <v>7.8</v>
      </c>
    </row>
    <row r="40" spans="1:10" ht="12.75" hidden="1">
      <c r="A40">
        <v>0.9</v>
      </c>
      <c r="B40">
        <v>8.3</v>
      </c>
      <c r="C40">
        <v>8.6</v>
      </c>
      <c r="D40">
        <v>8.8</v>
      </c>
      <c r="E40">
        <v>9</v>
      </c>
      <c r="F40">
        <v>9.3</v>
      </c>
      <c r="G40">
        <v>9.6</v>
      </c>
      <c r="H40">
        <v>9.5</v>
      </c>
      <c r="I40">
        <v>9</v>
      </c>
      <c r="J40">
        <v>8.5</v>
      </c>
    </row>
    <row r="41" spans="1:10" ht="12.75" hidden="1">
      <c r="A41">
        <v>0.92</v>
      </c>
      <c r="B41">
        <v>8.7</v>
      </c>
      <c r="C41">
        <v>8.9</v>
      </c>
      <c r="D41">
        <v>9.1</v>
      </c>
      <c r="E41">
        <v>9.4</v>
      </c>
      <c r="F41">
        <v>9.6</v>
      </c>
      <c r="G41">
        <v>10</v>
      </c>
      <c r="H41">
        <v>10</v>
      </c>
      <c r="I41">
        <v>9.7</v>
      </c>
      <c r="J41">
        <v>9.2</v>
      </c>
    </row>
    <row r="42" spans="1:10" ht="12.75" hidden="1">
      <c r="A42">
        <v>0.94</v>
      </c>
      <c r="B42">
        <v>9.1</v>
      </c>
      <c r="C42">
        <v>9.3</v>
      </c>
      <c r="D42">
        <v>9.5</v>
      </c>
      <c r="E42">
        <v>9.8</v>
      </c>
      <c r="F42">
        <v>10.2</v>
      </c>
      <c r="G42">
        <v>10.7</v>
      </c>
      <c r="H42">
        <v>10.9</v>
      </c>
      <c r="I42">
        <v>10.5</v>
      </c>
      <c r="J42">
        <v>10.1</v>
      </c>
    </row>
    <row r="43" spans="1:10" ht="12.75" hidden="1">
      <c r="A43">
        <v>0.96</v>
      </c>
      <c r="B43">
        <v>9.5</v>
      </c>
      <c r="C43">
        <v>9.7</v>
      </c>
      <c r="D43">
        <v>10</v>
      </c>
      <c r="E43">
        <v>10.4</v>
      </c>
      <c r="F43">
        <v>11</v>
      </c>
      <c r="G43">
        <v>11.5</v>
      </c>
      <c r="H43">
        <v>11.7</v>
      </c>
      <c r="I43">
        <v>11.5</v>
      </c>
      <c r="J43">
        <v>10.9</v>
      </c>
    </row>
    <row r="44" spans="1:10" ht="12.75" hidden="1">
      <c r="A44">
        <v>0.98</v>
      </c>
      <c r="B44">
        <v>10</v>
      </c>
      <c r="C44">
        <v>10.4</v>
      </c>
      <c r="D44">
        <v>10.6</v>
      </c>
      <c r="E44">
        <v>11.1</v>
      </c>
      <c r="F44">
        <v>11.6</v>
      </c>
      <c r="G44">
        <v>12.3</v>
      </c>
      <c r="H44">
        <v>13.2</v>
      </c>
      <c r="I44">
        <v>12.5</v>
      </c>
      <c r="J44">
        <v>11.5</v>
      </c>
    </row>
    <row r="45" ht="10.5"/>
    <row r="46" ht="10.5">
      <c r="B46" s="2" t="s">
        <v>34</v>
      </c>
    </row>
    <row r="47" spans="1:5" ht="10.5">
      <c r="A47" s="4" t="s">
        <v>35</v>
      </c>
      <c r="B47" s="2" t="s">
        <v>36</v>
      </c>
      <c r="C47" s="3" t="s">
        <v>37</v>
      </c>
      <c r="D47" s="2" t="s">
        <v>38</v>
      </c>
      <c r="E47" s="3" t="s">
        <v>39</v>
      </c>
    </row>
    <row r="48" spans="1:5" ht="10.5">
      <c r="A48" s="4">
        <f>INT(B26)+1</f>
        <v>5</v>
      </c>
      <c r="B48" s="5">
        <f>B27</f>
        <v>1.7045454545454546</v>
      </c>
      <c r="C48" s="5">
        <f aca="true" t="shared" si="0" ref="C48:C62">B48/2</f>
        <v>0.8522727272727273</v>
      </c>
      <c r="D48" s="5"/>
      <c r="E48" s="5">
        <f>B28</f>
        <v>0.42613636363636365</v>
      </c>
    </row>
    <row r="49" spans="1:5" ht="10.5">
      <c r="A49" s="4">
        <f aca="true" t="shared" si="1" ref="A49:A62">IF(A48&gt;1,A48-1,)</f>
        <v>4</v>
      </c>
      <c r="B49" s="5">
        <f aca="true" t="shared" si="2" ref="B49:B62">IF(A49&gt;0,$B$19*B48,)</f>
        <v>1.3636363636363638</v>
      </c>
      <c r="C49" s="5">
        <f t="shared" si="0"/>
        <v>0.6818181818181819</v>
      </c>
      <c r="D49" s="5">
        <f aca="true" t="shared" si="3" ref="D49:D62">IF(A49&gt;0,0.5*(B48-B49)*$B$22,)</f>
        <v>0.48886363636363644</v>
      </c>
      <c r="E49" s="5">
        <f aca="true" t="shared" si="4" ref="E49:E62">IF(A49&gt;0,D49+E48,0)</f>
        <v>0.915</v>
      </c>
    </row>
    <row r="50" spans="1:5" ht="10.5">
      <c r="A50" s="4">
        <f t="shared" si="1"/>
        <v>3</v>
      </c>
      <c r="B50" s="5">
        <f t="shared" si="2"/>
        <v>1.090909090909091</v>
      </c>
      <c r="C50" s="5">
        <f t="shared" si="0"/>
        <v>0.5454545454545455</v>
      </c>
      <c r="D50" s="5">
        <f t="shared" si="3"/>
        <v>0.3910909090909092</v>
      </c>
      <c r="E50" s="5">
        <f t="shared" si="4"/>
        <v>1.3060909090909092</v>
      </c>
    </row>
    <row r="51" spans="1:5" ht="10.5">
      <c r="A51" s="4">
        <f t="shared" si="1"/>
        <v>2</v>
      </c>
      <c r="B51" s="5">
        <f t="shared" si="2"/>
        <v>0.8727272727272729</v>
      </c>
      <c r="C51" s="5">
        <f t="shared" si="0"/>
        <v>0.43636363636363645</v>
      </c>
      <c r="D51" s="5">
        <f t="shared" si="3"/>
        <v>0.31287272727272736</v>
      </c>
      <c r="E51" s="5">
        <f t="shared" si="4"/>
        <v>1.6189636363636366</v>
      </c>
    </row>
    <row r="52" spans="1:5" ht="10.5">
      <c r="A52" s="4">
        <f t="shared" si="1"/>
        <v>1</v>
      </c>
      <c r="B52" s="5">
        <f t="shared" si="2"/>
        <v>0.6981818181818183</v>
      </c>
      <c r="C52" s="5">
        <f t="shared" si="0"/>
        <v>0.3490909090909092</v>
      </c>
      <c r="D52" s="5">
        <f t="shared" si="3"/>
        <v>0.2502981818181819</v>
      </c>
      <c r="E52" s="5">
        <f t="shared" si="4"/>
        <v>1.8692618181818186</v>
      </c>
    </row>
    <row r="53" spans="1:5" ht="10.5">
      <c r="A53" s="4">
        <f t="shared" si="1"/>
        <v>0</v>
      </c>
      <c r="B53" s="5">
        <f t="shared" si="2"/>
        <v>0</v>
      </c>
      <c r="C53" s="5">
        <f t="shared" si="0"/>
        <v>0</v>
      </c>
      <c r="D53" s="5">
        <f t="shared" si="3"/>
        <v>0</v>
      </c>
      <c r="E53" s="5">
        <f t="shared" si="4"/>
        <v>0</v>
      </c>
    </row>
    <row r="54" spans="1:5" ht="10.5">
      <c r="A54" s="4">
        <f t="shared" si="1"/>
        <v>0</v>
      </c>
      <c r="B54" s="5">
        <f t="shared" si="2"/>
        <v>0</v>
      </c>
      <c r="C54" s="5">
        <f t="shared" si="0"/>
        <v>0</v>
      </c>
      <c r="D54" s="5">
        <f t="shared" si="3"/>
        <v>0</v>
      </c>
      <c r="E54" s="5">
        <f t="shared" si="4"/>
        <v>0</v>
      </c>
    </row>
    <row r="55" spans="1:5" ht="10.5">
      <c r="A55" s="4">
        <f t="shared" si="1"/>
        <v>0</v>
      </c>
      <c r="B55" s="5">
        <f t="shared" si="2"/>
        <v>0</v>
      </c>
      <c r="C55" s="5">
        <f t="shared" si="0"/>
        <v>0</v>
      </c>
      <c r="D55" s="5">
        <f t="shared" si="3"/>
        <v>0</v>
      </c>
      <c r="E55" s="5">
        <f t="shared" si="4"/>
        <v>0</v>
      </c>
    </row>
    <row r="56" spans="1:5" ht="10.5">
      <c r="A56" s="4">
        <f t="shared" si="1"/>
        <v>0</v>
      </c>
      <c r="B56" s="5">
        <f t="shared" si="2"/>
        <v>0</v>
      </c>
      <c r="C56" s="5">
        <f t="shared" si="0"/>
        <v>0</v>
      </c>
      <c r="D56" s="5">
        <f t="shared" si="3"/>
        <v>0</v>
      </c>
      <c r="E56" s="5">
        <f t="shared" si="4"/>
        <v>0</v>
      </c>
    </row>
    <row r="57" spans="1:5" ht="10.5">
      <c r="A57" s="4">
        <f t="shared" si="1"/>
        <v>0</v>
      </c>
      <c r="B57" s="5">
        <f t="shared" si="2"/>
        <v>0</v>
      </c>
      <c r="C57" s="5">
        <f t="shared" si="0"/>
        <v>0</v>
      </c>
      <c r="D57" s="5">
        <f t="shared" si="3"/>
        <v>0</v>
      </c>
      <c r="E57" s="5">
        <f t="shared" si="4"/>
        <v>0</v>
      </c>
    </row>
    <row r="58" spans="1:5" ht="10.5">
      <c r="A58" s="4">
        <f t="shared" si="1"/>
        <v>0</v>
      </c>
      <c r="B58" s="5">
        <f t="shared" si="2"/>
        <v>0</v>
      </c>
      <c r="C58" s="5">
        <f t="shared" si="0"/>
        <v>0</v>
      </c>
      <c r="D58" s="5">
        <f t="shared" si="3"/>
        <v>0</v>
      </c>
      <c r="E58" s="5">
        <f t="shared" si="4"/>
        <v>0</v>
      </c>
    </row>
    <row r="59" spans="1:5" ht="10.5">
      <c r="A59" s="4">
        <f t="shared" si="1"/>
        <v>0</v>
      </c>
      <c r="B59" s="5">
        <f t="shared" si="2"/>
        <v>0</v>
      </c>
      <c r="C59" s="5">
        <f t="shared" si="0"/>
        <v>0</v>
      </c>
      <c r="D59" s="5">
        <f t="shared" si="3"/>
        <v>0</v>
      </c>
      <c r="E59" s="5">
        <f t="shared" si="4"/>
        <v>0</v>
      </c>
    </row>
    <row r="60" spans="1:5" ht="10.5">
      <c r="A60" s="4">
        <f t="shared" si="1"/>
        <v>0</v>
      </c>
      <c r="B60" s="5">
        <f t="shared" si="2"/>
        <v>0</v>
      </c>
      <c r="C60" s="5">
        <f t="shared" si="0"/>
        <v>0</v>
      </c>
      <c r="D60" s="5">
        <f t="shared" si="3"/>
        <v>0</v>
      </c>
      <c r="E60" s="5">
        <f t="shared" si="4"/>
        <v>0</v>
      </c>
    </row>
    <row r="61" spans="1:5" ht="10.5">
      <c r="A61" s="4">
        <f t="shared" si="1"/>
        <v>0</v>
      </c>
      <c r="B61" s="5">
        <f t="shared" si="2"/>
        <v>0</v>
      </c>
      <c r="C61" s="5">
        <f t="shared" si="0"/>
        <v>0</v>
      </c>
      <c r="D61" s="5">
        <f t="shared" si="3"/>
        <v>0</v>
      </c>
      <c r="E61" s="5">
        <f t="shared" si="4"/>
        <v>0</v>
      </c>
    </row>
    <row r="62" spans="1:5" ht="10.5">
      <c r="A62" s="4">
        <f t="shared" si="1"/>
        <v>0</v>
      </c>
      <c r="B62" s="5">
        <f t="shared" si="2"/>
        <v>0</v>
      </c>
      <c r="C62" s="5">
        <f t="shared" si="0"/>
        <v>0</v>
      </c>
      <c r="D62" s="5">
        <f t="shared" si="3"/>
        <v>0</v>
      </c>
      <c r="E62" s="5">
        <f t="shared" si="4"/>
        <v>0</v>
      </c>
    </row>
    <row r="63" ht="10.5"/>
    <row r="64" spans="1:3" ht="10.5">
      <c r="A64" s="4" t="s">
        <v>40</v>
      </c>
      <c r="B64" s="2">
        <f>SUM(B48:B63)</f>
        <v>5.73</v>
      </c>
      <c r="C64" s="2" t="s">
        <v>24</v>
      </c>
    </row>
    <row r="65" spans="1:3" ht="10.5">
      <c r="A65" s="4" t="s">
        <v>41</v>
      </c>
      <c r="B65" s="2">
        <f>SUM(D49:D62)+B28</f>
        <v>1.8692618181818186</v>
      </c>
      <c r="C65" s="3" t="s">
        <v>24</v>
      </c>
    </row>
    <row r="66" ht="10.5"/>
    <row r="67" ht="10.5"/>
    <row r="68" ht="10.5"/>
    <row r="69" ht="10.5"/>
  </sheetData>
  <printOptions/>
  <pageMargins left="0.7874015748031497" right="0.7874015748031497" top="0.46" bottom="0.43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A68" sqref="A68"/>
    </sheetView>
  </sheetViews>
  <sheetFormatPr defaultColWidth="9.140625" defaultRowHeight="12.75"/>
  <cols>
    <col min="1" max="1" width="22.140625" style="4" customWidth="1"/>
    <col min="2" max="2" width="9.140625" style="2" customWidth="1"/>
    <col min="3" max="3" width="7.57421875" style="2" customWidth="1"/>
    <col min="4" max="4" width="7.28125" style="3" customWidth="1"/>
    <col min="5" max="5" width="7.8515625" style="3" customWidth="1"/>
    <col min="6" max="16384" width="13.00390625" style="3" customWidth="1"/>
  </cols>
  <sheetData>
    <row r="1" spans="1:3" s="13" customFormat="1" ht="15.75">
      <c r="A1" s="11" t="s">
        <v>42</v>
      </c>
      <c r="B1" s="12"/>
      <c r="C1" s="12"/>
    </row>
    <row r="2" spans="1:8" s="10" customFormat="1" ht="12.75">
      <c r="A2" s="8" t="s">
        <v>43</v>
      </c>
      <c r="B2" s="9"/>
      <c r="C2" s="9"/>
      <c r="H2"/>
    </row>
    <row r="3" spans="1:3" s="10" customFormat="1" ht="12.75">
      <c r="A3" s="8" t="s">
        <v>61</v>
      </c>
      <c r="B3" s="9"/>
      <c r="C3" s="9"/>
    </row>
    <row r="4" spans="1:3" s="10" customFormat="1" ht="12.75">
      <c r="A4" s="14" t="s">
        <v>44</v>
      </c>
      <c r="B4" s="9"/>
      <c r="C4" s="9"/>
    </row>
    <row r="5" spans="1:3" s="10" customFormat="1" ht="12.75">
      <c r="A5" s="14"/>
      <c r="B5" s="9"/>
      <c r="C5" s="9"/>
    </row>
    <row r="6" spans="1:3" s="10" customFormat="1" ht="12.75">
      <c r="A6" s="8" t="s">
        <v>45</v>
      </c>
      <c r="B6" s="9"/>
      <c r="C6" s="9"/>
    </row>
    <row r="7" spans="1:3" s="10" customFormat="1" ht="12.75">
      <c r="A7" s="14"/>
      <c r="B7" s="9"/>
      <c r="C7" s="9"/>
    </row>
    <row r="8" spans="1:3" s="10" customFormat="1" ht="12.75">
      <c r="A8" s="14" t="s">
        <v>46</v>
      </c>
      <c r="B8" s="9"/>
      <c r="C8" s="9"/>
    </row>
    <row r="9" spans="1:3" s="10" customFormat="1" ht="12.75">
      <c r="A9" s="14"/>
      <c r="B9" s="9"/>
      <c r="C9" s="9"/>
    </row>
    <row r="10" spans="1:3" s="10" customFormat="1" ht="12.75">
      <c r="A10" s="14" t="s">
        <v>47</v>
      </c>
      <c r="B10" s="9"/>
      <c r="C10" s="9"/>
    </row>
    <row r="11" spans="1:3" s="10" customFormat="1" ht="12.75">
      <c r="A11" s="14"/>
      <c r="B11" s="9"/>
      <c r="C11" s="9"/>
    </row>
    <row r="12" spans="1:3" s="10" customFormat="1" ht="12.75">
      <c r="A12" s="14" t="s">
        <v>48</v>
      </c>
      <c r="B12" s="9"/>
      <c r="C12" s="9"/>
    </row>
    <row r="13" spans="1:3" s="10" customFormat="1" ht="12.75">
      <c r="A13" s="14" t="s">
        <v>58</v>
      </c>
      <c r="B13" s="9"/>
      <c r="C13" s="9"/>
    </row>
    <row r="14" ht="10.5"/>
    <row r="15" spans="1:3" s="10" customFormat="1" ht="12.75">
      <c r="A15" s="8" t="s">
        <v>49</v>
      </c>
      <c r="B15" s="21">
        <v>88</v>
      </c>
      <c r="C15" s="15" t="s">
        <v>11</v>
      </c>
    </row>
    <row r="16" spans="1:3" s="10" customFormat="1" ht="12.75">
      <c r="A16" s="8" t="s">
        <v>50</v>
      </c>
      <c r="B16" s="22">
        <v>108</v>
      </c>
      <c r="C16" s="15" t="s">
        <v>11</v>
      </c>
    </row>
    <row r="17" spans="1:3" s="10" customFormat="1" ht="12.75" hidden="1">
      <c r="A17" s="14" t="s">
        <v>13</v>
      </c>
      <c r="B17" s="22">
        <f>B16/B15</f>
        <v>1.2272727272727273</v>
      </c>
      <c r="C17" s="15"/>
    </row>
    <row r="18" spans="1:3" s="10" customFormat="1" ht="12.75">
      <c r="A18" s="8" t="s">
        <v>14</v>
      </c>
      <c r="B18" s="22">
        <v>0.83</v>
      </c>
      <c r="C18" s="15"/>
    </row>
    <row r="19" spans="1:3" s="10" customFormat="1" ht="12.75">
      <c r="A19" s="8" t="s">
        <v>15</v>
      </c>
      <c r="B19" s="22"/>
      <c r="C19" s="15"/>
    </row>
    <row r="20" spans="1:3" s="10" customFormat="1" ht="12.75" hidden="1">
      <c r="A20" s="14" t="s">
        <v>16</v>
      </c>
      <c r="B20" s="22">
        <f>IF(ISNUMBER(B19),B19,0.243*B18-0.051)</f>
        <v>0.15069</v>
      </c>
      <c r="C20" s="15"/>
    </row>
    <row r="21" spans="1:3" s="10" customFormat="1" ht="12.75" hidden="1">
      <c r="A21" s="14" t="s">
        <v>17</v>
      </c>
      <c r="B21" s="22">
        <f>4*B20/(1-B18)</f>
        <v>3.5456470588235285</v>
      </c>
      <c r="C21" s="15"/>
    </row>
    <row r="22" spans="1:3" s="10" customFormat="1" ht="12.75" hidden="1">
      <c r="A22" s="14" t="s">
        <v>18</v>
      </c>
      <c r="B22" s="22">
        <f>1.1+7.7*(1-B18)*(1-B18)*B21</f>
        <v>1.8890128400000004</v>
      </c>
      <c r="C22" s="15"/>
    </row>
    <row r="23" spans="1:3" s="10" customFormat="1" ht="12.75" hidden="1">
      <c r="A23" s="14" t="s">
        <v>19</v>
      </c>
      <c r="B23" s="22">
        <f>B17*B22</f>
        <v>2.3183339400000005</v>
      </c>
      <c r="C23" s="15"/>
    </row>
    <row r="24" spans="1:3" s="10" customFormat="1" ht="12.75" hidden="1">
      <c r="A24" s="14" t="s">
        <v>20</v>
      </c>
      <c r="B24" s="22">
        <f>(0.25*(1-1/B23)*B21)*300/B15</f>
        <v>1.718397110623279</v>
      </c>
      <c r="C24" s="15"/>
    </row>
    <row r="25" spans="1:3" s="10" customFormat="1" ht="12.75" hidden="1">
      <c r="A25" s="14" t="s">
        <v>21</v>
      </c>
      <c r="B25" s="22">
        <f>1+LN(B23)/LN(1/B18)</f>
        <v>5.512696301632548</v>
      </c>
      <c r="C25" s="15"/>
    </row>
    <row r="26" spans="1:3" s="10" customFormat="1" ht="12.75" hidden="1">
      <c r="A26" s="14" t="s">
        <v>22</v>
      </c>
      <c r="B26" s="22">
        <f>(300/B15)/2</f>
        <v>1.7045454545454546</v>
      </c>
      <c r="C26" s="15"/>
    </row>
    <row r="27" spans="1:3" s="10" customFormat="1" ht="12.75" hidden="1">
      <c r="A27" s="14" t="s">
        <v>23</v>
      </c>
      <c r="B27" s="23">
        <f>0.125*300/B15</f>
        <v>0.42613636363636365</v>
      </c>
      <c r="C27" s="15" t="s">
        <v>24</v>
      </c>
    </row>
    <row r="28" spans="1:3" s="10" customFormat="1" ht="12.75">
      <c r="A28" s="8" t="s">
        <v>51</v>
      </c>
      <c r="B28" s="22">
        <v>50</v>
      </c>
      <c r="C28" s="15" t="s">
        <v>56</v>
      </c>
    </row>
    <row r="29" spans="1:3" s="10" customFormat="1" ht="12.75" hidden="1">
      <c r="A29" s="10" t="s">
        <v>27</v>
      </c>
      <c r="B29" s="22">
        <f>(B28*B28/8*B20/SQRT(B18))+B28*SQRT(B28/8*B20/SQRT(B18)*B28/8*B20/SQRT(B18)+1)</f>
        <v>123.60334237911714</v>
      </c>
      <c r="C29" s="16"/>
    </row>
    <row r="30" spans="1:3" s="10" customFormat="1" ht="12.75">
      <c r="A30" s="8" t="s">
        <v>64</v>
      </c>
      <c r="B30" s="24">
        <v>15</v>
      </c>
      <c r="C30" s="15" t="s">
        <v>29</v>
      </c>
    </row>
    <row r="31" spans="1:3" s="10" customFormat="1" ht="12.75">
      <c r="A31" s="8"/>
      <c r="B31" s="18"/>
      <c r="C31" s="15"/>
    </row>
    <row r="32" spans="1:4" s="10" customFormat="1" ht="13.5" customHeight="1">
      <c r="A32" s="14" t="s">
        <v>63</v>
      </c>
      <c r="B32" s="9">
        <f>B30/2*EXP((B29/276)*LN(10))</f>
        <v>21.032914694410263</v>
      </c>
      <c r="C32" s="9" t="s">
        <v>29</v>
      </c>
      <c r="D32" s="10" t="s">
        <v>59</v>
      </c>
    </row>
    <row r="33" spans="1:3" s="10" customFormat="1" ht="13.5" customHeight="1">
      <c r="A33" s="10" t="s">
        <v>52</v>
      </c>
      <c r="B33" s="10">
        <f>INDEX(B35:J44,MATCH(B18,A35:A44,1),MATCH(B20,B34:J34,1))</f>
        <v>8.4</v>
      </c>
      <c r="C33" s="10" t="s">
        <v>32</v>
      </c>
    </row>
    <row r="34" spans="1:10" s="10" customFormat="1" ht="12.75" hidden="1">
      <c r="A34" s="10" t="s">
        <v>33</v>
      </c>
      <c r="B34" s="10">
        <v>0.06</v>
      </c>
      <c r="C34" s="10">
        <v>0.08</v>
      </c>
      <c r="D34" s="10">
        <v>0.1</v>
      </c>
      <c r="E34" s="10">
        <v>0.12</v>
      </c>
      <c r="F34" s="10">
        <v>0.14</v>
      </c>
      <c r="G34" s="10">
        <v>0.16</v>
      </c>
      <c r="H34" s="10">
        <v>0.18</v>
      </c>
      <c r="I34" s="10">
        <v>0.2</v>
      </c>
      <c r="J34" s="10">
        <v>0.22</v>
      </c>
    </row>
    <row r="35" spans="1:10" s="10" customFormat="1" ht="12.75" hidden="1">
      <c r="A35" s="10">
        <v>0.8</v>
      </c>
      <c r="B35" s="10">
        <v>7</v>
      </c>
      <c r="C35" s="10">
        <v>7.2</v>
      </c>
      <c r="D35" s="10">
        <v>7.5</v>
      </c>
      <c r="E35" s="10">
        <v>8</v>
      </c>
      <c r="F35" s="10">
        <v>8.3</v>
      </c>
      <c r="G35" s="10">
        <v>8</v>
      </c>
      <c r="H35" s="10">
        <v>7.5</v>
      </c>
      <c r="I35" s="10">
        <v>7</v>
      </c>
      <c r="J35" s="10">
        <v>5.5</v>
      </c>
    </row>
    <row r="36" spans="1:10" s="10" customFormat="1" ht="12.75" hidden="1">
      <c r="A36" s="10">
        <v>0.82</v>
      </c>
      <c r="B36" s="10">
        <v>7.2</v>
      </c>
      <c r="C36" s="10">
        <v>7.4</v>
      </c>
      <c r="D36" s="10">
        <v>7.7</v>
      </c>
      <c r="E36" s="10">
        <v>8.2</v>
      </c>
      <c r="F36" s="10">
        <v>8.4</v>
      </c>
      <c r="G36" s="10">
        <v>8.3</v>
      </c>
      <c r="H36" s="10">
        <v>7.9</v>
      </c>
      <c r="I36" s="10">
        <v>7.3</v>
      </c>
      <c r="J36" s="10">
        <v>6.1</v>
      </c>
    </row>
    <row r="37" spans="1:10" s="10" customFormat="1" ht="12.75" hidden="1">
      <c r="A37" s="10">
        <v>0.84</v>
      </c>
      <c r="B37" s="10">
        <v>7.3</v>
      </c>
      <c r="C37" s="10">
        <v>7.6</v>
      </c>
      <c r="D37" s="10">
        <v>7.9</v>
      </c>
      <c r="E37" s="10">
        <v>8.3</v>
      </c>
      <c r="F37" s="10">
        <v>8.6</v>
      </c>
      <c r="G37" s="10">
        <v>8.6</v>
      </c>
      <c r="H37" s="10">
        <v>8.2</v>
      </c>
      <c r="I37" s="10">
        <v>7.6</v>
      </c>
      <c r="J37" s="10">
        <v>6.5</v>
      </c>
    </row>
    <row r="38" spans="1:10" s="10" customFormat="1" ht="12.75" hidden="1">
      <c r="A38" s="10">
        <v>0.86</v>
      </c>
      <c r="B38" s="10">
        <v>7.6</v>
      </c>
      <c r="C38" s="10">
        <v>7.8</v>
      </c>
      <c r="D38" s="10">
        <v>8.2</v>
      </c>
      <c r="E38" s="10">
        <v>8.4</v>
      </c>
      <c r="F38" s="10">
        <v>8.8</v>
      </c>
      <c r="G38" s="10">
        <v>8.9</v>
      </c>
      <c r="H38" s="10">
        <v>8.6</v>
      </c>
      <c r="I38" s="10">
        <v>8</v>
      </c>
      <c r="J38" s="10">
        <v>7.3</v>
      </c>
    </row>
    <row r="39" spans="1:10" s="10" customFormat="1" ht="12.75" hidden="1">
      <c r="A39" s="10">
        <v>0.88</v>
      </c>
      <c r="B39" s="10">
        <v>7.9</v>
      </c>
      <c r="C39" s="10">
        <v>8.1</v>
      </c>
      <c r="D39" s="10">
        <v>8.4</v>
      </c>
      <c r="E39" s="10">
        <v>8.7</v>
      </c>
      <c r="F39" s="10">
        <v>9</v>
      </c>
      <c r="G39" s="10">
        <v>9.2</v>
      </c>
      <c r="H39" s="10">
        <v>9.1</v>
      </c>
      <c r="I39" s="10">
        <v>8.5</v>
      </c>
      <c r="J39" s="10">
        <v>7.8</v>
      </c>
    </row>
    <row r="40" spans="1:10" s="10" customFormat="1" ht="12.75" hidden="1">
      <c r="A40" s="10">
        <v>0.9</v>
      </c>
      <c r="B40" s="10">
        <v>8.3</v>
      </c>
      <c r="C40" s="10">
        <v>8.6</v>
      </c>
      <c r="D40" s="10">
        <v>8.8</v>
      </c>
      <c r="E40" s="10">
        <v>9</v>
      </c>
      <c r="F40" s="10">
        <v>9.3</v>
      </c>
      <c r="G40" s="10">
        <v>9.6</v>
      </c>
      <c r="H40" s="10">
        <v>9.5</v>
      </c>
      <c r="I40" s="10">
        <v>9</v>
      </c>
      <c r="J40" s="10">
        <v>8.5</v>
      </c>
    </row>
    <row r="41" spans="1:10" s="10" customFormat="1" ht="12.75" hidden="1">
      <c r="A41" s="10">
        <v>0.92</v>
      </c>
      <c r="B41" s="10">
        <v>8.7</v>
      </c>
      <c r="C41" s="10">
        <v>8.9</v>
      </c>
      <c r="D41" s="10">
        <v>9.1</v>
      </c>
      <c r="E41" s="10">
        <v>9.4</v>
      </c>
      <c r="F41" s="10">
        <v>9.6</v>
      </c>
      <c r="G41" s="10">
        <v>10</v>
      </c>
      <c r="H41" s="10">
        <v>10</v>
      </c>
      <c r="I41" s="10">
        <v>9.7</v>
      </c>
      <c r="J41" s="10">
        <v>9.2</v>
      </c>
    </row>
    <row r="42" spans="1:10" s="10" customFormat="1" ht="12.75" hidden="1">
      <c r="A42" s="10">
        <v>0.94</v>
      </c>
      <c r="B42" s="10">
        <v>9.1</v>
      </c>
      <c r="C42" s="10">
        <v>9.3</v>
      </c>
      <c r="D42" s="10">
        <v>9.5</v>
      </c>
      <c r="E42" s="10">
        <v>9.8</v>
      </c>
      <c r="F42" s="10">
        <v>10.2</v>
      </c>
      <c r="G42" s="10">
        <v>10.7</v>
      </c>
      <c r="H42" s="10">
        <v>10.9</v>
      </c>
      <c r="I42" s="10">
        <v>10.5</v>
      </c>
      <c r="J42" s="10">
        <v>10.1</v>
      </c>
    </row>
    <row r="43" spans="1:10" s="10" customFormat="1" ht="12.75" hidden="1">
      <c r="A43" s="10">
        <v>0.96</v>
      </c>
      <c r="B43" s="10">
        <v>9.5</v>
      </c>
      <c r="C43" s="10">
        <v>9.7</v>
      </c>
      <c r="D43" s="10">
        <v>10</v>
      </c>
      <c r="E43" s="10">
        <v>10.4</v>
      </c>
      <c r="F43" s="10">
        <v>11</v>
      </c>
      <c r="G43" s="10">
        <v>11.5</v>
      </c>
      <c r="H43" s="10">
        <v>11.7</v>
      </c>
      <c r="I43" s="10">
        <v>11.5</v>
      </c>
      <c r="J43" s="10">
        <v>10.9</v>
      </c>
    </row>
    <row r="44" spans="1:10" s="10" customFormat="1" ht="12.75" hidden="1">
      <c r="A44" s="10">
        <v>0.98</v>
      </c>
      <c r="B44" s="10">
        <v>10</v>
      </c>
      <c r="C44" s="10">
        <v>10.4</v>
      </c>
      <c r="D44" s="10">
        <v>10.6</v>
      </c>
      <c r="E44" s="10">
        <v>11.1</v>
      </c>
      <c r="F44" s="10">
        <v>11.6</v>
      </c>
      <c r="G44" s="10">
        <v>12.3</v>
      </c>
      <c r="H44" s="10">
        <v>13.2</v>
      </c>
      <c r="I44" s="10">
        <v>12.5</v>
      </c>
      <c r="J44" s="10">
        <v>11.5</v>
      </c>
    </row>
    <row r="45" spans="1:3" s="10" customFormat="1" ht="12.75">
      <c r="A45" s="14"/>
      <c r="B45" s="9"/>
      <c r="C45" s="9"/>
    </row>
    <row r="46" spans="1:3" s="10" customFormat="1" ht="12.75">
      <c r="A46" s="14"/>
      <c r="B46" s="9" t="s">
        <v>57</v>
      </c>
      <c r="C46" s="9"/>
    </row>
    <row r="47" spans="1:5" s="10" customFormat="1" ht="36.75" customHeight="1">
      <c r="A47" s="29" t="s">
        <v>53</v>
      </c>
      <c r="B47" s="19" t="s">
        <v>65</v>
      </c>
      <c r="C47" s="20" t="s">
        <v>66</v>
      </c>
      <c r="D47" s="19" t="s">
        <v>54</v>
      </c>
      <c r="E47" s="20" t="s">
        <v>62</v>
      </c>
    </row>
    <row r="48" spans="1:5" s="10" customFormat="1" ht="12.75">
      <c r="A48" s="14">
        <f>INT(B25)+1</f>
        <v>6</v>
      </c>
      <c r="B48" s="17">
        <f>B26</f>
        <v>1.7045454545454546</v>
      </c>
      <c r="C48" s="17">
        <f aca="true" t="shared" si="0" ref="C48:C62">B48/2</f>
        <v>0.8522727272727273</v>
      </c>
      <c r="D48" s="17"/>
      <c r="E48" s="17">
        <f>B27</f>
        <v>0.42613636363636365</v>
      </c>
    </row>
    <row r="49" spans="1:5" s="10" customFormat="1" ht="12.75">
      <c r="A49" s="14">
        <f aca="true" t="shared" si="1" ref="A49:A62">IF(A48&gt;1,A48-1,)</f>
        <v>5</v>
      </c>
      <c r="B49" s="17">
        <f aca="true" t="shared" si="2" ref="B49:B62">IF(A49&gt;0,$B$18*B48,)</f>
        <v>1.4147727272727273</v>
      </c>
      <c r="C49" s="17">
        <f t="shared" si="0"/>
        <v>0.7073863636363636</v>
      </c>
      <c r="D49" s="17">
        <f aca="true" t="shared" si="3" ref="D49:D62">IF(A49&gt;0,0.5*(B48-B49)*$B$21,)</f>
        <v>0.513715909090909</v>
      </c>
      <c r="E49" s="17">
        <f aca="true" t="shared" si="4" ref="E49:E62">IF(A49&gt;0,D49+E48,0)</f>
        <v>0.9398522727272727</v>
      </c>
    </row>
    <row r="50" spans="1:5" s="10" customFormat="1" ht="12.75">
      <c r="A50" s="14">
        <f t="shared" si="1"/>
        <v>4</v>
      </c>
      <c r="B50" s="17">
        <f t="shared" si="2"/>
        <v>1.1742613636363637</v>
      </c>
      <c r="C50" s="17">
        <f t="shared" si="0"/>
        <v>0.5871306818181818</v>
      </c>
      <c r="D50" s="17">
        <f t="shared" si="3"/>
        <v>0.4263842045454544</v>
      </c>
      <c r="E50" s="17">
        <f t="shared" si="4"/>
        <v>1.3662364772727271</v>
      </c>
    </row>
    <row r="51" spans="1:5" s="10" customFormat="1" ht="12.75">
      <c r="A51" s="14">
        <f t="shared" si="1"/>
        <v>3</v>
      </c>
      <c r="B51" s="17">
        <f t="shared" si="2"/>
        <v>0.9746369318181818</v>
      </c>
      <c r="C51" s="17">
        <f t="shared" si="0"/>
        <v>0.4873184659090909</v>
      </c>
      <c r="D51" s="17">
        <f t="shared" si="3"/>
        <v>0.3538988897727273</v>
      </c>
      <c r="E51" s="17">
        <f t="shared" si="4"/>
        <v>1.7201353670454544</v>
      </c>
    </row>
    <row r="52" spans="1:5" s="10" customFormat="1" ht="12.75">
      <c r="A52" s="14">
        <f t="shared" si="1"/>
        <v>2</v>
      </c>
      <c r="B52" s="17">
        <f t="shared" si="2"/>
        <v>0.8089486534090908</v>
      </c>
      <c r="C52" s="17">
        <f t="shared" si="0"/>
        <v>0.4044743267045454</v>
      </c>
      <c r="D52" s="17">
        <f t="shared" si="3"/>
        <v>0.29373607851136363</v>
      </c>
      <c r="E52" s="17">
        <f t="shared" si="4"/>
        <v>2.013871445556818</v>
      </c>
    </row>
    <row r="53" spans="1:5" s="10" customFormat="1" ht="12.75">
      <c r="A53" s="14">
        <f t="shared" si="1"/>
        <v>1</v>
      </c>
      <c r="B53" s="17">
        <f t="shared" si="2"/>
        <v>0.6714273823295454</v>
      </c>
      <c r="C53" s="17">
        <f t="shared" si="0"/>
        <v>0.3357136911647727</v>
      </c>
      <c r="D53" s="17">
        <f t="shared" si="3"/>
        <v>0.2438009451644318</v>
      </c>
      <c r="E53" s="17">
        <f t="shared" si="4"/>
        <v>2.25767239072125</v>
      </c>
    </row>
    <row r="54" spans="1:5" s="10" customFormat="1" ht="12.75">
      <c r="A54" s="14">
        <f t="shared" si="1"/>
        <v>0</v>
      </c>
      <c r="B54" s="17">
        <f t="shared" si="2"/>
        <v>0</v>
      </c>
      <c r="C54" s="17">
        <f t="shared" si="0"/>
        <v>0</v>
      </c>
      <c r="D54" s="17">
        <f t="shared" si="3"/>
        <v>0</v>
      </c>
      <c r="E54" s="17">
        <f t="shared" si="4"/>
        <v>0</v>
      </c>
    </row>
    <row r="55" spans="1:5" s="10" customFormat="1" ht="12.75">
      <c r="A55" s="14">
        <f t="shared" si="1"/>
        <v>0</v>
      </c>
      <c r="B55" s="17">
        <f t="shared" si="2"/>
        <v>0</v>
      </c>
      <c r="C55" s="17">
        <f t="shared" si="0"/>
        <v>0</v>
      </c>
      <c r="D55" s="17">
        <f t="shared" si="3"/>
        <v>0</v>
      </c>
      <c r="E55" s="17">
        <f t="shared" si="4"/>
        <v>0</v>
      </c>
    </row>
    <row r="56" spans="1:5" s="10" customFormat="1" ht="12.75">
      <c r="A56" s="14">
        <f t="shared" si="1"/>
        <v>0</v>
      </c>
      <c r="B56" s="17">
        <f t="shared" si="2"/>
        <v>0</v>
      </c>
      <c r="C56" s="17">
        <f t="shared" si="0"/>
        <v>0</v>
      </c>
      <c r="D56" s="17">
        <f t="shared" si="3"/>
        <v>0</v>
      </c>
      <c r="E56" s="17">
        <f t="shared" si="4"/>
        <v>0</v>
      </c>
    </row>
    <row r="57" spans="1:5" s="10" customFormat="1" ht="12.75">
      <c r="A57" s="14">
        <f t="shared" si="1"/>
        <v>0</v>
      </c>
      <c r="B57" s="17">
        <f t="shared" si="2"/>
        <v>0</v>
      </c>
      <c r="C57" s="17">
        <f t="shared" si="0"/>
        <v>0</v>
      </c>
      <c r="D57" s="17">
        <f t="shared" si="3"/>
        <v>0</v>
      </c>
      <c r="E57" s="17">
        <f t="shared" si="4"/>
        <v>0</v>
      </c>
    </row>
    <row r="58" spans="1:5" s="10" customFormat="1" ht="12.75">
      <c r="A58" s="14">
        <f t="shared" si="1"/>
        <v>0</v>
      </c>
      <c r="B58" s="17">
        <f t="shared" si="2"/>
        <v>0</v>
      </c>
      <c r="C58" s="17">
        <f t="shared" si="0"/>
        <v>0</v>
      </c>
      <c r="D58" s="17">
        <f t="shared" si="3"/>
        <v>0</v>
      </c>
      <c r="E58" s="17">
        <f t="shared" si="4"/>
        <v>0</v>
      </c>
    </row>
    <row r="59" spans="1:5" s="10" customFormat="1" ht="12.75">
      <c r="A59" s="14">
        <f t="shared" si="1"/>
        <v>0</v>
      </c>
      <c r="B59" s="17">
        <f t="shared" si="2"/>
        <v>0</v>
      </c>
      <c r="C59" s="17">
        <f t="shared" si="0"/>
        <v>0</v>
      </c>
      <c r="D59" s="17">
        <f t="shared" si="3"/>
        <v>0</v>
      </c>
      <c r="E59" s="17">
        <f t="shared" si="4"/>
        <v>0</v>
      </c>
    </row>
    <row r="60" spans="1:5" s="10" customFormat="1" ht="12.75">
      <c r="A60" s="14">
        <f t="shared" si="1"/>
        <v>0</v>
      </c>
      <c r="B60" s="17">
        <f t="shared" si="2"/>
        <v>0</v>
      </c>
      <c r="C60" s="17">
        <f t="shared" si="0"/>
        <v>0</v>
      </c>
      <c r="D60" s="17">
        <f t="shared" si="3"/>
        <v>0</v>
      </c>
      <c r="E60" s="17">
        <f t="shared" si="4"/>
        <v>0</v>
      </c>
    </row>
    <row r="61" spans="1:5" s="10" customFormat="1" ht="12.75">
      <c r="A61" s="14">
        <f t="shared" si="1"/>
        <v>0</v>
      </c>
      <c r="B61" s="17">
        <f t="shared" si="2"/>
        <v>0</v>
      </c>
      <c r="C61" s="17">
        <f t="shared" si="0"/>
        <v>0</v>
      </c>
      <c r="D61" s="17">
        <f t="shared" si="3"/>
        <v>0</v>
      </c>
      <c r="E61" s="17">
        <f t="shared" si="4"/>
        <v>0</v>
      </c>
    </row>
    <row r="62" spans="1:5" s="10" customFormat="1" ht="12.75">
      <c r="A62" s="14">
        <f t="shared" si="1"/>
        <v>0</v>
      </c>
      <c r="B62" s="17">
        <f t="shared" si="2"/>
        <v>0</v>
      </c>
      <c r="C62" s="17">
        <f t="shared" si="0"/>
        <v>0</v>
      </c>
      <c r="D62" s="17">
        <f t="shared" si="3"/>
        <v>0</v>
      </c>
      <c r="E62" s="17">
        <f t="shared" si="4"/>
        <v>0</v>
      </c>
    </row>
    <row r="63" spans="1:3" s="10" customFormat="1" ht="12.75">
      <c r="A63" s="14"/>
      <c r="B63" s="9"/>
      <c r="C63" s="9"/>
    </row>
    <row r="64" spans="1:3" s="10" customFormat="1" ht="12.75">
      <c r="A64" s="14" t="s">
        <v>55</v>
      </c>
      <c r="B64" s="9">
        <f>SUM(B48:B63)</f>
        <v>6.7485925130113635</v>
      </c>
      <c r="C64" s="9" t="s">
        <v>24</v>
      </c>
    </row>
    <row r="65" spans="1:3" s="10" customFormat="1" ht="12.75">
      <c r="A65" s="14" t="s">
        <v>67</v>
      </c>
      <c r="B65" s="9">
        <f>SUM(D49:D62)+B27</f>
        <v>2.25767239072125</v>
      </c>
      <c r="C65" s="10" t="s">
        <v>24</v>
      </c>
    </row>
  </sheetData>
  <printOptions/>
  <pageMargins left="0.7874015748031497" right="0.7874015748031497" top="0.46" bottom="0.43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Wavesplitter</cp:lastModifiedBy>
  <dcterms:modified xsi:type="dcterms:W3CDTF">2002-04-30T15:58:41Z</dcterms:modified>
  <cp:category/>
  <cp:version/>
  <cp:contentType/>
  <cp:contentStatus/>
</cp:coreProperties>
</file>